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temp\"/>
    </mc:Choice>
  </mc:AlternateContent>
  <xr:revisionPtr revIDLastSave="0" documentId="13_ncr:1_{6779F747-0944-471E-8F16-4B6210D47DB6}" xr6:coauthVersionLast="47" xr6:coauthVersionMax="47" xr10:uidLastSave="{00000000-0000-0000-0000-000000000000}"/>
  <bookViews>
    <workbookView xWindow="-96" yWindow="-96" windowWidth="23232" windowHeight="12432" activeTab="1" xr2:uid="{F97AB528-A5B6-4D84-BD32-8BD929B2565E}"/>
  </bookViews>
  <sheets>
    <sheet name="1.Input" sheetId="5" r:id="rId1"/>
    <sheet name="2.Tabella x OMI" sheetId="3" r:id="rId2"/>
    <sheet name="4.Non usare! Calcolo x OMI" sheetId="4" r:id="rId3"/>
  </sheets>
  <definedNames>
    <definedName name="Casistica">'1.Input'!$J$6</definedName>
    <definedName name="Coef_correttivo_DU">#REF!</definedName>
    <definedName name="Fat._correttivo_Box">'1.Input'!$F$19</definedName>
    <definedName name="Fat._correttivo_Cantine">'1.Input'!$F$20</definedName>
    <definedName name="Fat._correttivo_Commerciale">'1.Input'!$F$24</definedName>
    <definedName name="Fat._correttivo_industriale">'1.Input'!$F$21</definedName>
    <definedName name="Fat._correttivo_residenziale">'1.Input'!$F$18</definedName>
    <definedName name="Fat._correttivo_Turistico">'1.Input'!$F$23</definedName>
    <definedName name="Fat._correttivo_uffici">'1.Input'!$F$22</definedName>
    <definedName name="Fattore_correttivo_OMI">'2.Tabella x OMI'!$F$10</definedName>
    <definedName name="ID_Funzione">#REF!</definedName>
    <definedName name="ID_Funzione_input">'1.Input'!#REF!</definedName>
    <definedName name="k_riduz">'1.Input'!$J$13</definedName>
    <definedName name="k_riduz_calcolato">'4.Non usare! Calcolo x OMI'!$B$4</definedName>
    <definedName name="k_riduz_OMI">'2.Tabella x OMI'!$J$8</definedName>
    <definedName name="k1967_">'2.Tabella x OMI'!$J$6</definedName>
    <definedName name="k1967_input">'1.Input'!$J$9</definedName>
    <definedName name="Prezzo_OMI">'2.Tabella x OMI'!$J$5</definedName>
    <definedName name="S_top" localSheetId="1">'2.Tabella x OMI'!#REF!</definedName>
    <definedName name="S_top">#REF!</definedName>
    <definedName name="Sabusiva" localSheetId="1">'2.Tabella x OMI'!$J$4</definedName>
    <definedName name="Sabusiva">#REF!</definedName>
    <definedName name="Sabusiva_DU">'1.Input'!#REF!</definedName>
    <definedName name="Sabusiva_input">'1.Input'!$J$5</definedName>
    <definedName name="Sanzione_DU">#REF!</definedName>
    <definedName name="Sanzione_OMI">'2.Tabella x OMI'!$B$27</definedName>
    <definedName name="Sinterp">'2.Tabella x OMI'!$F$13</definedName>
    <definedName name="Slimite">'2.Tabella x OMI'!$F$14</definedName>
    <definedName name="Uso_k_riduz">'1.Input'!$J$7</definedName>
    <definedName name="VOMI">'1.Input'!$J$8</definedName>
    <definedName name="Vunit_OMI_base">'2.Tabella x OMI'!$F$11</definedName>
    <definedName name="Vunit_OMI_x_k_riduz_OMI">'2.Tabella x OMI'!$F$12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3" i="5" l="1"/>
  <c r="L13" i="5" s="1"/>
  <c r="J7" i="3"/>
  <c r="B4" i="4"/>
  <c r="J8" i="3" s="1"/>
  <c r="L8" i="3" s="1"/>
  <c r="L6" i="5"/>
  <c r="L7" i="5"/>
  <c r="J6" i="3"/>
  <c r="J5" i="3"/>
  <c r="J4" i="3"/>
  <c r="E13" i="3" s="1"/>
  <c r="K13" i="5"/>
  <c r="L9" i="5"/>
  <c r="L8" i="5"/>
  <c r="L5" i="5"/>
  <c r="A1" i="4"/>
  <c r="A41" i="3"/>
  <c r="G11" i="3" l="1"/>
  <c r="E11" i="3"/>
  <c r="A12" i="3"/>
  <c r="E12" i="3"/>
  <c r="E14" i="3"/>
  <c r="A11" i="3"/>
  <c r="G12" i="3"/>
  <c r="E10" i="3"/>
  <c r="G14" i="3"/>
  <c r="G10" i="3"/>
  <c r="B24" i="3"/>
  <c r="L5" i="3"/>
  <c r="L6" i="3"/>
  <c r="A13" i="3"/>
  <c r="B23" i="3"/>
  <c r="C22" i="3" s="1"/>
  <c r="A14" i="3"/>
  <c r="A10" i="3"/>
  <c r="G13" i="3"/>
  <c r="F10" i="3"/>
  <c r="F11" i="3" s="1"/>
  <c r="F12" i="3" s="1"/>
  <c r="A23" i="3" l="1"/>
  <c r="B27" i="3" s="1"/>
  <c r="F14" i="3"/>
  <c r="A24" i="3" l="1"/>
  <c r="A2" i="4" s="1"/>
  <c r="F13" i="3"/>
  <c r="B1" i="4"/>
  <c r="B2" i="4"/>
  <c r="B41" i="3"/>
  <c r="B42" i="3" s="1"/>
  <c r="A42" i="3" l="1"/>
</calcChain>
</file>

<file path=xl/sharedStrings.xml><?xml version="1.0" encoding="utf-8"?>
<sst xmlns="http://schemas.openxmlformats.org/spreadsheetml/2006/main" count="55" uniqueCount="40">
  <si>
    <r>
      <t>m</t>
    </r>
    <r>
      <rPr>
        <vertAlign val="superscript"/>
        <sz val="11"/>
        <color theme="1"/>
        <rFont val="Calibri"/>
        <family val="2"/>
        <scheme val="minor"/>
      </rPr>
      <t>2</t>
    </r>
  </si>
  <si>
    <t>Superficie abusiva</t>
  </si>
  <si>
    <r>
      <t>S</t>
    </r>
    <r>
      <rPr>
        <vertAlign val="subscript"/>
        <sz val="11"/>
        <color theme="1"/>
        <rFont val="Calibri"/>
        <family val="2"/>
        <scheme val="minor"/>
      </rPr>
      <t>abusiva</t>
    </r>
    <r>
      <rPr>
        <sz val="11"/>
        <color theme="1"/>
        <rFont val="Calibri"/>
        <family val="2"/>
        <scheme val="minor"/>
      </rPr>
      <t>=</t>
    </r>
  </si>
  <si>
    <t>Sanzione
[€]</t>
  </si>
  <si>
    <r>
      <t>Superficie
[m</t>
    </r>
    <r>
      <rPr>
        <vertAlign val="super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>]</t>
    </r>
  </si>
  <si>
    <t>Sanzione=</t>
  </si>
  <si>
    <t>€</t>
  </si>
  <si>
    <t>COMUNE DI FINALE LIGURE</t>
  </si>
  <si>
    <t>Fat. correttivo</t>
  </si>
  <si>
    <t>[-]</t>
  </si>
  <si>
    <t>ID</t>
  </si>
  <si>
    <t>Valore di riferimento da tabelle OMI per tipologia prevalente</t>
  </si>
  <si>
    <r>
      <t>€/m</t>
    </r>
    <r>
      <rPr>
        <vertAlign val="superscript"/>
        <sz val="11"/>
        <color theme="1"/>
        <rFont val="Calibri"/>
        <family val="2"/>
        <scheme val="minor"/>
      </rPr>
      <t>2</t>
    </r>
  </si>
  <si>
    <r>
      <t>k</t>
    </r>
    <r>
      <rPr>
        <vertAlign val="subscript"/>
        <sz val="11"/>
        <color theme="1"/>
        <rFont val="Calibri"/>
        <family val="2"/>
        <scheme val="minor"/>
      </rPr>
      <t>1967</t>
    </r>
    <r>
      <rPr>
        <sz val="11"/>
        <color theme="1"/>
        <rFont val="Calibri"/>
        <family val="2"/>
        <scheme val="minor"/>
      </rPr>
      <t>=</t>
    </r>
  </si>
  <si>
    <t>Calcolo sanzione amministrativa per abuso edilizio ex art. 48 Comma 3 L.R. 16/2008 in base a tabelle OMI</t>
  </si>
  <si>
    <t xml:space="preserve">Fattore di aggiornamento prezzi secondo ISTAT dal 1967 alla data attuale </t>
  </si>
  <si>
    <t>delta [€]</t>
  </si>
  <si>
    <r>
      <t>V</t>
    </r>
    <r>
      <rPr>
        <vertAlign val="subscript"/>
        <sz val="11"/>
        <color theme="1"/>
        <rFont val="Calibri"/>
        <family val="2"/>
        <scheme val="minor"/>
      </rPr>
      <t>OMI</t>
    </r>
    <r>
      <rPr>
        <sz val="11"/>
        <color theme="1"/>
        <rFont val="Calibri"/>
        <family val="2"/>
        <scheme val="minor"/>
      </rPr>
      <t>=</t>
    </r>
  </si>
  <si>
    <t>Assegnazione dei dati d'ingresso</t>
  </si>
  <si>
    <t>Casistica=</t>
  </si>
  <si>
    <t>Contesto per il calcolo della sanzione amministrativa</t>
  </si>
  <si>
    <t>Contesto=</t>
  </si>
  <si>
    <r>
      <t>Coefficiente di abbattimento del parametro V</t>
    </r>
    <r>
      <rPr>
        <vertAlign val="subscript"/>
        <sz val="11"/>
        <color theme="1"/>
        <rFont val="Calibri"/>
        <family val="2"/>
        <scheme val="minor"/>
      </rPr>
      <t>unit,OMI</t>
    </r>
  </si>
  <si>
    <t>k_riduz=</t>
  </si>
  <si>
    <r>
      <t>Calcolo sanzione amministrativa per abuso edilizio ex art. 48 Comma 3 L.R. 16/2008 in base a tabelle OMI (</t>
    </r>
    <r>
      <rPr>
        <b/>
        <sz val="11"/>
        <color theme="1"/>
        <rFont val="Calibri"/>
        <family val="2"/>
        <scheme val="minor"/>
      </rPr>
      <t>Versione per compatibilità con LibreOffice</t>
    </r>
    <r>
      <rPr>
        <sz val="11"/>
        <color theme="1"/>
        <rFont val="Calibri"/>
        <family val="2"/>
        <scheme val="minor"/>
      </rPr>
      <t>)</t>
    </r>
  </si>
  <si>
    <t>Settore messaggistica. Non scrivere nei campi colorati!</t>
  </si>
  <si>
    <t>Funzione/Destinazione d'uso</t>
  </si>
  <si>
    <t>Residenziale (A)</t>
  </si>
  <si>
    <t>Box (F)</t>
  </si>
  <si>
    <t>Industriale/artigianale (C)</t>
  </si>
  <si>
    <t>Uffici (A)</t>
  </si>
  <si>
    <t>Turistico (B)</t>
  </si>
  <si>
    <t>Commerciale (D)</t>
  </si>
  <si>
    <t>Contesto per il calcolo della sanzione (Vedere tabella sotto riportata)</t>
  </si>
  <si>
    <t>Uso k_riduz=</t>
  </si>
  <si>
    <t>Utilizzo dei fattori correttivi per assenza valore OMI pertinente (S/N)</t>
  </si>
  <si>
    <t>N</t>
  </si>
  <si>
    <t>Fattore correttivo (k_riduz) del prezzo unitario della sanzione per S&gt;20 m2</t>
  </si>
  <si>
    <t>Cantine/Magazzini (-)</t>
  </si>
  <si>
    <t>NON MODIFICARE LA CELLA SOTTOSTANTE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</si>
</sst>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10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sz val="11"/>
      <color rgb="FF0000FF"/>
      <name val="Calibri"/>
      <family val="2"/>
      <scheme val="minor"/>
    </font>
    <font>
      <vertAlign val="subscript"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5"/>
      <color theme="1"/>
      <name val="Calibri"/>
      <family val="2"/>
      <scheme val="minor"/>
    </font>
    <font>
      <sz val="11"/>
      <color theme="1"/>
      <name val="Calibri"/>
      <family val="1"/>
      <charset val="2"/>
      <scheme val="minor"/>
    </font>
    <font>
      <b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ck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ck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ck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 style="thin">
        <color auto="1"/>
      </top>
      <bottom/>
      <diagonal/>
    </border>
    <border>
      <left style="thick">
        <color auto="1"/>
      </left>
      <right/>
      <top style="medium">
        <color auto="1"/>
      </top>
      <bottom/>
      <diagonal/>
    </border>
    <border>
      <left/>
      <right style="thick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2" fontId="0" fillId="0" borderId="0" xfId="0" applyNumberFormat="1"/>
    <xf numFmtId="2" fontId="1" fillId="0" borderId="0" xfId="0" applyNumberFormat="1" applyFont="1" applyAlignment="1">
      <alignment horizontal="center"/>
    </xf>
    <xf numFmtId="0" fontId="0" fillId="0" borderId="6" xfId="0" applyBorder="1"/>
    <xf numFmtId="0" fontId="0" fillId="0" borderId="5" xfId="0" applyBorder="1"/>
    <xf numFmtId="0" fontId="3" fillId="0" borderId="0" xfId="0" applyFont="1"/>
    <xf numFmtId="0" fontId="1" fillId="0" borderId="0" xfId="0" applyFont="1"/>
    <xf numFmtId="0" fontId="1" fillId="0" borderId="7" xfId="0" applyFont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3" fillId="0" borderId="5" xfId="0" applyFont="1" applyBorder="1" applyAlignment="1">
      <alignment horizontal="left"/>
    </xf>
    <xf numFmtId="0" fontId="0" fillId="0" borderId="0" xfId="0" applyAlignment="1">
      <alignment horizontal="left"/>
    </xf>
    <xf numFmtId="0" fontId="0" fillId="0" borderId="10" xfId="0" applyBorder="1" applyAlignment="1">
      <alignment horizontal="center" wrapText="1"/>
    </xf>
    <xf numFmtId="0" fontId="0" fillId="0" borderId="10" xfId="0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5" fillId="0" borderId="0" xfId="0" applyFont="1"/>
    <xf numFmtId="2" fontId="5" fillId="0" borderId="10" xfId="0" applyNumberFormat="1" applyFont="1" applyBorder="1" applyAlignment="1">
      <alignment horizontal="center"/>
    </xf>
    <xf numFmtId="2" fontId="0" fillId="0" borderId="10" xfId="0" applyNumberFormat="1" applyBorder="1" applyAlignment="1">
      <alignment horizontal="center"/>
    </xf>
    <xf numFmtId="0" fontId="7" fillId="0" borderId="0" xfId="0" applyFont="1"/>
    <xf numFmtId="0" fontId="0" fillId="0" borderId="18" xfId="0" applyBorder="1"/>
    <xf numFmtId="0" fontId="5" fillId="0" borderId="15" xfId="0" applyFont="1" applyBorder="1"/>
    <xf numFmtId="0" fontId="3" fillId="0" borderId="15" xfId="0" applyFont="1" applyBorder="1"/>
    <xf numFmtId="0" fontId="0" fillId="2" borderId="15" xfId="0" applyFill="1" applyBorder="1"/>
    <xf numFmtId="0" fontId="5" fillId="0" borderId="0" xfId="0" applyFont="1" applyAlignment="1">
      <alignment horizontal="left"/>
    </xf>
    <xf numFmtId="164" fontId="5" fillId="0" borderId="0" xfId="0" applyNumberFormat="1" applyFont="1" applyAlignment="1">
      <alignment horizontal="right"/>
    </xf>
    <xf numFmtId="0" fontId="0" fillId="0" borderId="24" xfId="0" applyBorder="1" applyAlignment="1">
      <alignment horizontal="left"/>
    </xf>
    <xf numFmtId="2" fontId="3" fillId="0" borderId="24" xfId="0" applyNumberFormat="1" applyFont="1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22" xfId="0" applyBorder="1"/>
    <xf numFmtId="0" fontId="1" fillId="0" borderId="26" xfId="0" applyFont="1" applyBorder="1"/>
    <xf numFmtId="0" fontId="0" fillId="2" borderId="0" xfId="0" applyFill="1"/>
    <xf numFmtId="0" fontId="0" fillId="2" borderId="6" xfId="0" applyFill="1" applyBorder="1"/>
    <xf numFmtId="0" fontId="1" fillId="2" borderId="19" xfId="0" applyFont="1" applyFill="1" applyBorder="1"/>
    <xf numFmtId="2" fontId="9" fillId="0" borderId="22" xfId="0" applyNumberFormat="1" applyFont="1" applyBorder="1"/>
    <xf numFmtId="0" fontId="5" fillId="0" borderId="22" xfId="0" applyFont="1" applyBorder="1"/>
    <xf numFmtId="0" fontId="0" fillId="2" borderId="22" xfId="0" applyFill="1" applyBorder="1"/>
    <xf numFmtId="0" fontId="0" fillId="0" borderId="15" xfId="0" applyBorder="1" applyAlignment="1">
      <alignment horizontal="left"/>
    </xf>
    <xf numFmtId="0" fontId="3" fillId="0" borderId="0" xfId="0" applyFont="1" applyAlignment="1">
      <alignment horizontal="right"/>
    </xf>
    <xf numFmtId="0" fontId="0" fillId="2" borderId="16" xfId="0" applyFill="1" applyBorder="1"/>
    <xf numFmtId="0" fontId="0" fillId="2" borderId="17" xfId="0" applyFill="1" applyBorder="1"/>
    <xf numFmtId="0" fontId="1" fillId="2" borderId="20" xfId="0" applyFont="1" applyFill="1" applyBorder="1"/>
    <xf numFmtId="0" fontId="1" fillId="2" borderId="21" xfId="0" applyFont="1" applyFill="1" applyBorder="1"/>
    <xf numFmtId="0" fontId="8" fillId="0" borderId="0" xfId="0" applyFont="1"/>
    <xf numFmtId="0" fontId="0" fillId="0" borderId="16" xfId="0" applyBorder="1"/>
    <xf numFmtId="0" fontId="0" fillId="2" borderId="27" xfId="0" applyFill="1" applyBorder="1"/>
    <xf numFmtId="0" fontId="0" fillId="0" borderId="5" xfId="0" applyBorder="1"/>
    <xf numFmtId="0" fontId="0" fillId="0" borderId="0" xfId="0"/>
    <xf numFmtId="0" fontId="8" fillId="0" borderId="15" xfId="0" applyFont="1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28" xfId="0" applyBorder="1"/>
    <xf numFmtId="0" fontId="0" fillId="0" borderId="22" xfId="0" applyBorder="1"/>
    <xf numFmtId="0" fontId="0" fillId="0" borderId="14" xfId="0" applyBorder="1"/>
    <xf numFmtId="0" fontId="0" fillId="0" borderId="15" xfId="0" applyBorder="1"/>
    <xf numFmtId="0" fontId="1" fillId="0" borderId="24" xfId="0" applyFont="1" applyBorder="1" applyAlignment="1">
      <alignment horizontal="left"/>
    </xf>
    <xf numFmtId="0" fontId="0" fillId="0" borderId="24" xfId="0" applyBorder="1"/>
    <xf numFmtId="0" fontId="5" fillId="0" borderId="24" xfId="0" applyFont="1" applyBorder="1" applyAlignment="1">
      <alignment horizontal="left"/>
    </xf>
    <xf numFmtId="0" fontId="5" fillId="0" borderId="21" xfId="0" applyFont="1" applyBorder="1" applyAlignment="1">
      <alignment horizontal="left"/>
    </xf>
    <xf numFmtId="0" fontId="0" fillId="0" borderId="23" xfId="0" applyBorder="1"/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0" fillId="2" borderId="16" xfId="0" applyFill="1" applyBorder="1" applyAlignment="1">
      <alignment horizontal="center" vertical="center"/>
    </xf>
    <xf numFmtId="0" fontId="8" fillId="2" borderId="21" xfId="0" applyFont="1" applyFill="1" applyBorder="1" applyAlignment="1">
      <alignment horizontal="center"/>
    </xf>
    <xf numFmtId="0" fontId="8" fillId="0" borderId="22" xfId="0" applyFont="1" applyBorder="1" applyAlignment="1">
      <alignment horizontal="center"/>
    </xf>
    <xf numFmtId="0" fontId="8" fillId="0" borderId="27" xfId="0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5" fillId="0" borderId="5" xfId="0" applyFont="1" applyBorder="1" applyAlignment="1">
      <alignment horizontal="left"/>
    </xf>
  </cellXfs>
  <cellStyles count="1">
    <cellStyle name="Normale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'2.Tabella x OMI'!$B$16</c:f>
              <c:strCache>
                <c:ptCount val="1"/>
                <c:pt idx="0">
                  <c:v>Sanzione
[€]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'2.Tabella x OMI'!$A$17:$A$24</c:f>
              <c:numCache>
                <c:formatCode>General</c:formatCode>
                <c:ptCount val="8"/>
                <c:pt idx="0">
                  <c:v>0</c:v>
                </c:pt>
                <c:pt idx="1">
                  <c:v>0.01</c:v>
                </c:pt>
                <c:pt idx="2">
                  <c:v>10</c:v>
                </c:pt>
                <c:pt idx="3">
                  <c:v>10.01</c:v>
                </c:pt>
                <c:pt idx="4">
                  <c:v>20</c:v>
                </c:pt>
                <c:pt idx="5">
                  <c:v>20.0001</c:v>
                </c:pt>
                <c:pt idx="6" formatCode="0.00">
                  <c:v>71.814001643436626</c:v>
                </c:pt>
                <c:pt idx="7" formatCode="0.00">
                  <c:v>145</c:v>
                </c:pt>
              </c:numCache>
            </c:numRef>
          </c:xVal>
          <c:yVal>
            <c:numRef>
              <c:f>'2.Tabella x OMI'!$B$17:$B$24</c:f>
              <c:numCache>
                <c:formatCode>General</c:formatCode>
                <c:ptCount val="8"/>
                <c:pt idx="0">
                  <c:v>0</c:v>
                </c:pt>
                <c:pt idx="1">
                  <c:v>5164</c:v>
                </c:pt>
                <c:pt idx="2">
                  <c:v>5164</c:v>
                </c:pt>
                <c:pt idx="3">
                  <c:v>10328</c:v>
                </c:pt>
                <c:pt idx="4">
                  <c:v>10328</c:v>
                </c:pt>
                <c:pt idx="5">
                  <c:v>15492</c:v>
                </c:pt>
                <c:pt idx="6">
                  <c:v>46476</c:v>
                </c:pt>
                <c:pt idx="7">
                  <c:v>46476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2440-45E1-A2D4-44312CDECDEC}"/>
            </c:ext>
          </c:extLst>
        </c:ser>
        <c:ser>
          <c:idx val="2"/>
          <c:order val="1"/>
          <c:tx>
            <c:v>"sanzione"</c:v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C000"/>
              </a:solidFill>
              <a:ln w="9525">
                <a:solidFill>
                  <a:schemeClr val="accent3"/>
                </a:solidFill>
              </a:ln>
              <a:effectLst/>
            </c:spPr>
          </c:marker>
          <c:dPt>
            <c:idx val="1"/>
            <c:marker>
              <c:symbol val="circle"/>
              <c:size val="5"/>
              <c:spPr>
                <a:solidFill>
                  <a:srgbClr val="FFC000"/>
                </a:solidFill>
                <a:ln w="9525">
                  <a:solidFill>
                    <a:schemeClr val="accent3"/>
                  </a:solidFill>
                </a:ln>
                <a:effectLst/>
              </c:spPr>
            </c:marker>
            <c:bubble3D val="0"/>
            <c:spPr>
              <a:ln w="19050" cap="rnd">
                <a:solidFill>
                  <a:srgbClr val="FFC000"/>
                </a:solidFill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0-3A54-4777-83E3-2056B44DCE2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t-I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'4.Non usare! Calcolo x OMI'!$A$1:$A$2</c:f>
              <c:numCache>
                <c:formatCode>0.00</c:formatCode>
                <c:ptCount val="2"/>
                <c:pt idx="0" formatCode="General">
                  <c:v>0</c:v>
                </c:pt>
                <c:pt idx="1">
                  <c:v>145</c:v>
                </c:pt>
              </c:numCache>
            </c:numRef>
          </c:xVal>
          <c:yVal>
            <c:numRef>
              <c:f>'4.Non usare! Calcolo x OMI'!$B$1:$B$2</c:f>
              <c:numCache>
                <c:formatCode>General</c:formatCode>
                <c:ptCount val="2"/>
                <c:pt idx="0">
                  <c:v>33431.53</c:v>
                </c:pt>
                <c:pt idx="1">
                  <c:v>33431.53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2440-45E1-A2D4-44312CDECD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48236063"/>
        <c:axId val="1448238559"/>
      </c:scatterChart>
      <c:valAx>
        <c:axId val="1448236063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t-IT"/>
          </a:p>
        </c:txPr>
        <c:crossAx val="1448238559"/>
        <c:crosses val="autoZero"/>
        <c:crossBetween val="midCat"/>
      </c:valAx>
      <c:valAx>
        <c:axId val="144823855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t-IT"/>
          </a:p>
        </c:txPr>
        <c:crossAx val="1448236063"/>
        <c:crossesAt val="0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t-IT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436584</xdr:colOff>
      <xdr:row>10</xdr:row>
      <xdr:rowOff>13447</xdr:rowOff>
    </xdr:from>
    <xdr:to>
      <xdr:col>15</xdr:col>
      <xdr:colOff>224121</xdr:colOff>
      <xdr:row>30</xdr:row>
      <xdr:rowOff>147918</xdr:rowOff>
    </xdr:to>
    <xdr:graphicFrame macro="">
      <xdr:nvGraphicFramePr>
        <xdr:cNvPr id="2" name="Grafico 1">
          <a:extLst>
            <a:ext uri="{FF2B5EF4-FFF2-40B4-BE49-F238E27FC236}">
              <a16:creationId xmlns:a16="http://schemas.microsoft.com/office/drawing/2014/main" id="{220844B7-8AAD-46B4-AD04-023DC2BD51C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3</xdr:col>
      <xdr:colOff>497542</xdr:colOff>
      <xdr:row>15</xdr:row>
      <xdr:rowOff>313764</xdr:rowOff>
    </xdr:from>
    <xdr:to>
      <xdr:col>5</xdr:col>
      <xdr:colOff>610550</xdr:colOff>
      <xdr:row>24</xdr:row>
      <xdr:rowOff>57064</xdr:rowOff>
    </xdr:to>
    <xdr:pic>
      <xdr:nvPicPr>
        <xdr:cNvPr id="4" name="Immagine 3">
          <a:extLst>
            <a:ext uri="{FF2B5EF4-FFF2-40B4-BE49-F238E27FC236}">
              <a16:creationId xmlns:a16="http://schemas.microsoft.com/office/drawing/2014/main" id="{919B74BC-9835-0B5D-65FC-FDF03AEB6C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595283" y="3675529"/>
          <a:ext cx="3196867" cy="1607959"/>
        </a:xfrm>
        <a:prstGeom prst="rect">
          <a:avLst/>
        </a:prstGeom>
      </xdr:spPr>
    </xdr:pic>
    <xdr:clientData/>
  </xdr:twoCellAnchor>
  <xdr:twoCellAnchor editAs="oneCell">
    <xdr:from>
      <xdr:col>16</xdr:col>
      <xdr:colOff>116541</xdr:colOff>
      <xdr:row>5</xdr:row>
      <xdr:rowOff>174811</xdr:rowOff>
    </xdr:from>
    <xdr:to>
      <xdr:col>19</xdr:col>
      <xdr:colOff>437896</xdr:colOff>
      <xdr:row>7</xdr:row>
      <xdr:rowOff>23552</xdr:rowOff>
    </xdr:to>
    <xdr:pic>
      <xdr:nvPicPr>
        <xdr:cNvPr id="5" name="Immagine 4">
          <a:extLst>
            <a:ext uri="{FF2B5EF4-FFF2-40B4-BE49-F238E27FC236}">
              <a16:creationId xmlns:a16="http://schemas.microsoft.com/office/drawing/2014/main" id="{C4172437-1AD6-849B-BF48-4FA96DC20F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2483353" y="1434352"/>
          <a:ext cx="2244284" cy="24767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87E27C-DD90-4E07-A802-1E003012CBEB}">
  <dimension ref="A1:P26"/>
  <sheetViews>
    <sheetView zoomScaleNormal="100" workbookViewId="0">
      <selection sqref="A1:P25"/>
    </sheetView>
  </sheetViews>
  <sheetFormatPr defaultRowHeight="14.4"/>
  <cols>
    <col min="5" max="5" width="12.26171875" customWidth="1"/>
    <col min="6" max="6" width="12.15625" customWidth="1"/>
    <col min="9" max="9" width="11.15625" customWidth="1"/>
    <col min="10" max="10" width="8.5234375" customWidth="1"/>
    <col min="11" max="11" width="6.3671875" customWidth="1"/>
    <col min="15" max="15" width="11.05078125" customWidth="1"/>
    <col min="16" max="16" width="23.9453125" customWidth="1"/>
  </cols>
  <sheetData>
    <row r="1" spans="1:16" ht="19.5" thickTop="1">
      <c r="A1" s="64" t="s">
        <v>7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6"/>
      <c r="M1" s="66"/>
      <c r="N1" s="66"/>
      <c r="O1" s="66"/>
      <c r="P1" s="67"/>
    </row>
    <row r="2" spans="1:16" ht="14.7" thickBot="1">
      <c r="A2" s="68" t="s">
        <v>24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70"/>
    </row>
    <row r="3" spans="1:16" ht="14.7" thickBot="1">
      <c r="A3" s="35" t="s">
        <v>18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71" t="s">
        <v>25</v>
      </c>
      <c r="M3" s="72"/>
      <c r="N3" s="72"/>
      <c r="O3" s="72"/>
      <c r="P3" s="73"/>
    </row>
    <row r="4" spans="1:16">
      <c r="A4" s="7"/>
      <c r="L4" s="45"/>
      <c r="M4" s="36"/>
      <c r="N4" s="36"/>
      <c r="O4" s="36"/>
      <c r="P4" s="37"/>
    </row>
    <row r="5" spans="1:16" ht="17.7">
      <c r="A5" s="51" t="s">
        <v>1</v>
      </c>
      <c r="B5" s="52"/>
      <c r="C5" s="52"/>
      <c r="D5" s="52"/>
      <c r="E5" s="52"/>
      <c r="F5" s="52"/>
      <c r="G5" s="52"/>
      <c r="H5" s="52"/>
      <c r="I5" s="14" t="s">
        <v>2</v>
      </c>
      <c r="J5" s="8">
        <v>50</v>
      </c>
      <c r="K5" t="s">
        <v>0</v>
      </c>
      <c r="L5" s="38" t="str">
        <f>IF(Sabusiva_input &lt; 0,"=&gt; Superficie abusiva inconsistente; correggere!","")</f>
        <v/>
      </c>
      <c r="M5" s="36"/>
      <c r="N5" s="36"/>
      <c r="O5" s="36"/>
      <c r="P5" s="37"/>
    </row>
    <row r="6" spans="1:16">
      <c r="A6" s="51" t="s">
        <v>33</v>
      </c>
      <c r="B6" s="52"/>
      <c r="C6" s="52"/>
      <c r="D6" s="52"/>
      <c r="E6" s="52"/>
      <c r="F6" s="52"/>
      <c r="G6" s="52"/>
      <c r="H6" s="52"/>
      <c r="I6" s="14" t="s">
        <v>19</v>
      </c>
      <c r="J6" s="8">
        <v>3</v>
      </c>
      <c r="K6" s="21" t="s">
        <v>9</v>
      </c>
      <c r="L6" s="38" t="str">
        <f>IF(Casistica="","=&gt; Assunzione di 1.Residenziale (A) di default.",IF(Casistica=1,"=&gt; Casistica Residenziale (A)",IF(Casistica=2,"=&gt; Casistica Box (F)",IF(Casistica=3,"=&gt; Casistica Cantine/Magazzini",IF(Casistica=4,"=&gt; Casistica Industriale/artigianale (C)",IF(Casistica=5,"=&gt; Casistica Uffici (A)",IF(Casistica=6,"=&gt; Casistica Turistico (B)",IF(Casistica=7,"=&gt; Casistica Commerciale (D)","=&gt;Errore! Casistica non ammessa"))))))))</f>
        <v>=&gt; Casistica Cantine/Magazzini</v>
      </c>
      <c r="M6" s="36"/>
      <c r="N6" s="36"/>
      <c r="O6" s="36"/>
      <c r="P6" s="37"/>
    </row>
    <row r="7" spans="1:16">
      <c r="A7" s="51" t="s">
        <v>35</v>
      </c>
      <c r="B7" s="52"/>
      <c r="C7" s="52"/>
      <c r="D7" s="52"/>
      <c r="E7" s="52"/>
      <c r="F7" s="52"/>
      <c r="G7" s="52"/>
      <c r="H7" s="52"/>
      <c r="I7" s="14" t="s">
        <v>34</v>
      </c>
      <c r="J7" s="43" t="s">
        <v>36</v>
      </c>
      <c r="K7" s="21" t="s">
        <v>9</v>
      </c>
      <c r="L7" s="38" t="str">
        <f>IF(Uso_k_riduz="S","=&gt; Assenza di valore OMI pertinente =&gt; uso di K_riduz su Vomi residenziale",IF(Uso_k_riduz&lt;&gt;"N","=&gt; Errore! Opzione non riconosciuta. Correggere!","=&gt; Si dispone di Vomi pertinente per contesto"))</f>
        <v>=&gt; Si dispone di Vomi pertinente per contesto</v>
      </c>
      <c r="M7" s="36"/>
      <c r="N7" s="36"/>
      <c r="O7" s="36"/>
      <c r="P7" s="37"/>
    </row>
    <row r="8" spans="1:16" ht="17.7">
      <c r="A8" s="51" t="s">
        <v>11</v>
      </c>
      <c r="B8" s="52"/>
      <c r="C8" s="52"/>
      <c r="D8" s="52"/>
      <c r="E8" s="52"/>
      <c r="F8" s="52"/>
      <c r="G8" s="52"/>
      <c r="H8" s="52"/>
      <c r="I8" s="14" t="s">
        <v>17</v>
      </c>
      <c r="J8" s="8">
        <v>1750</v>
      </c>
      <c r="K8" t="s">
        <v>12</v>
      </c>
      <c r="L8" s="38" t="str">
        <f>IF(VOMI &lt; 0,"=&gt; Valore OMI inconsistente; correggere!","")</f>
        <v/>
      </c>
      <c r="M8" s="36"/>
      <c r="N8" s="36"/>
      <c r="O8" s="36"/>
      <c r="P8" s="37"/>
    </row>
    <row r="9" spans="1:16" ht="17.100000000000001" thickBot="1">
      <c r="A9" s="57" t="s">
        <v>15</v>
      </c>
      <c r="B9" s="58"/>
      <c r="C9" s="58"/>
      <c r="D9" s="58"/>
      <c r="E9" s="58"/>
      <c r="F9" s="58"/>
      <c r="G9" s="58"/>
      <c r="H9" s="58"/>
      <c r="I9" s="42" t="s">
        <v>13</v>
      </c>
      <c r="J9" s="27">
        <v>21.45</v>
      </c>
      <c r="K9" s="26" t="s">
        <v>9</v>
      </c>
      <c r="L9" s="46" t="str">
        <f>IF(k1967_input &lt; 21,"=&gt; Verificare correttezza valore; 21.45 a 09/2022","")</f>
        <v/>
      </c>
      <c r="M9" s="28"/>
      <c r="N9" s="28"/>
      <c r="O9" s="28"/>
      <c r="P9" s="44"/>
    </row>
    <row r="10" spans="1:16">
      <c r="A10" s="7"/>
      <c r="I10" s="14"/>
      <c r="J10" s="8"/>
      <c r="K10" s="21"/>
      <c r="L10" s="9"/>
      <c r="P10" s="6"/>
    </row>
    <row r="11" spans="1:16">
      <c r="A11" s="7"/>
      <c r="I11" s="14"/>
      <c r="J11" s="8"/>
      <c r="K11" s="21"/>
      <c r="L11" s="9"/>
      <c r="P11" s="6"/>
    </row>
    <row r="12" spans="1:16" ht="14.7" thickBot="1">
      <c r="A12" s="7"/>
      <c r="I12" s="53" t="s">
        <v>39</v>
      </c>
      <c r="J12" s="53"/>
      <c r="K12" s="53"/>
      <c r="L12" s="53"/>
      <c r="M12" s="54"/>
      <c r="N12" s="48"/>
      <c r="P12" s="49"/>
    </row>
    <row r="13" spans="1:16" ht="14.7" thickBot="1">
      <c r="A13" s="55" t="s">
        <v>37</v>
      </c>
      <c r="B13" s="56"/>
      <c r="C13" s="56"/>
      <c r="D13" s="56"/>
      <c r="E13" s="56"/>
      <c r="F13" s="56"/>
      <c r="G13" s="56"/>
      <c r="H13" s="56"/>
      <c r="I13" s="34" t="s">
        <v>23</v>
      </c>
      <c r="J13" s="39">
        <f>IF(Uso_k_riduz="N",1,IF(Casistica=1,Fat._correttivo_residenziale,IF(Casistica=2,Fat._correttivo_Box,IF(Casistica=3,Fat._correttivo_Cantine,IF(Casistica=4,Fat._correttivo_industriale,IF(Casistica=5,Fat._correttivo_uffici,IF(Casistica=6,Fat._correttivo_Turistico,IF(Casistica=7,Fat._correttivo_Commerciale,"=&gt; Errore! Casistica sconosciuta. Correggere"))))))))</f>
        <v>1</v>
      </c>
      <c r="K13" s="40" t="str">
        <f>IF(Casistica=2,"[-]","")</f>
        <v/>
      </c>
      <c r="L13" s="47" t="str">
        <f>IF(k_riduz=1,"=&gt; Nessuna correzione applicata.","")</f>
        <v>=&gt; Nessuna correzione applicata.</v>
      </c>
      <c r="M13" s="41"/>
      <c r="N13" s="41"/>
      <c r="O13" s="41"/>
      <c r="P13" s="50"/>
    </row>
    <row r="14" spans="1:16">
      <c r="A14" s="7"/>
      <c r="P14" s="6"/>
    </row>
    <row r="15" spans="1:16">
      <c r="A15" s="7"/>
      <c r="P15" s="6"/>
    </row>
    <row r="16" spans="1:16" ht="14.7" thickBot="1">
      <c r="A16" s="7"/>
      <c r="P16" s="6"/>
    </row>
    <row r="17" spans="1:16" ht="14.7" thickBot="1">
      <c r="A17" s="10" t="s">
        <v>10</v>
      </c>
      <c r="B17" s="59" t="s">
        <v>26</v>
      </c>
      <c r="C17" s="60"/>
      <c r="D17" s="60"/>
      <c r="E17" s="60"/>
      <c r="F17" s="31" t="s">
        <v>8</v>
      </c>
      <c r="P17" s="6"/>
    </row>
    <row r="18" spans="1:16" ht="14.7" thickBot="1">
      <c r="A18" s="11">
        <v>1</v>
      </c>
      <c r="B18" s="61" t="s">
        <v>27</v>
      </c>
      <c r="C18" s="60"/>
      <c r="D18" s="60"/>
      <c r="E18" s="60"/>
      <c r="F18" s="32">
        <v>1</v>
      </c>
      <c r="P18" s="6"/>
    </row>
    <row r="19" spans="1:16" ht="14.7" thickBot="1">
      <c r="A19" s="11">
        <v>2</v>
      </c>
      <c r="B19" s="61" t="s">
        <v>28</v>
      </c>
      <c r="C19" s="60"/>
      <c r="D19" s="60"/>
      <c r="E19" s="60"/>
      <c r="F19" s="32">
        <v>0.6</v>
      </c>
      <c r="P19" s="6"/>
    </row>
    <row r="20" spans="1:16" ht="14.7" thickBot="1">
      <c r="A20" s="11">
        <v>3</v>
      </c>
      <c r="B20" s="61" t="s">
        <v>38</v>
      </c>
      <c r="C20" s="60"/>
      <c r="D20" s="60"/>
      <c r="E20" s="60"/>
      <c r="F20" s="32">
        <v>0.33</v>
      </c>
      <c r="P20" s="6"/>
    </row>
    <row r="21" spans="1:16" ht="14.7" thickBot="1">
      <c r="A21" s="11">
        <v>4</v>
      </c>
      <c r="B21" s="61" t="s">
        <v>29</v>
      </c>
      <c r="C21" s="60"/>
      <c r="D21" s="60"/>
      <c r="E21" s="60"/>
      <c r="F21" s="32">
        <v>0.4</v>
      </c>
      <c r="P21" s="6"/>
    </row>
    <row r="22" spans="1:16" ht="14.7" thickBot="1">
      <c r="A22" s="11">
        <v>5</v>
      </c>
      <c r="B22" s="61" t="s">
        <v>30</v>
      </c>
      <c r="C22" s="60"/>
      <c r="D22" s="60"/>
      <c r="E22" s="60"/>
      <c r="F22" s="32">
        <v>1</v>
      </c>
      <c r="P22" s="6"/>
    </row>
    <row r="23" spans="1:16" ht="14.7" thickBot="1">
      <c r="A23" s="33">
        <v>6</v>
      </c>
      <c r="B23" s="62" t="s">
        <v>31</v>
      </c>
      <c r="C23" s="56"/>
      <c r="D23" s="56"/>
      <c r="E23" s="63"/>
      <c r="F23" s="32">
        <v>0.7</v>
      </c>
      <c r="P23" s="6"/>
    </row>
    <row r="24" spans="1:16" ht="14.7" thickBot="1">
      <c r="A24" s="12">
        <v>7</v>
      </c>
      <c r="B24" s="61" t="s">
        <v>32</v>
      </c>
      <c r="C24" s="60"/>
      <c r="D24" s="60"/>
      <c r="E24" s="60"/>
      <c r="F24" s="32">
        <v>0.65</v>
      </c>
      <c r="P24" s="6"/>
    </row>
    <row r="25" spans="1:16" ht="14.7" thickBot="1">
      <c r="A25" s="18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20"/>
    </row>
    <row r="26" spans="1:16" ht="14.7" thickTop="1"/>
  </sheetData>
  <sheetProtection algorithmName="SHA-512" hashValue="TdZFQtKfsnwCInzzHm8uGM5LyzCPRbWF4jYYjwZKZN9V8Tx5jCCv9n44O4dqB48v3ZYfSqB0DAwwBLyrxySvoA==" saltValue="lzfrsNqGbW2hGLlVdJ3B7Q==" spinCount="100000" sheet="1" objects="1" scenarios="1"/>
  <protectedRanges>
    <protectedRange sqref="J5:J9 F18:F24" name="Parametri liberi Foglio Input"/>
    <protectedRange sqref="F18:F24" name="Protezione Foglio 1"/>
  </protectedRanges>
  <mergeCells count="18">
    <mergeCell ref="B22:E22"/>
    <mergeCell ref="B24:E24"/>
    <mergeCell ref="B23:E23"/>
    <mergeCell ref="A1:P1"/>
    <mergeCell ref="A2:P2"/>
    <mergeCell ref="L3:P3"/>
    <mergeCell ref="A6:H6"/>
    <mergeCell ref="A5:H5"/>
    <mergeCell ref="B17:E17"/>
    <mergeCell ref="B18:E18"/>
    <mergeCell ref="B19:E19"/>
    <mergeCell ref="B20:E20"/>
    <mergeCell ref="B21:E21"/>
    <mergeCell ref="A7:H7"/>
    <mergeCell ref="I12:M12"/>
    <mergeCell ref="A13:H13"/>
    <mergeCell ref="A8:H8"/>
    <mergeCell ref="A9:H9"/>
  </mergeCells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29F070-374B-48D0-BEFC-50E8247738EB}">
  <dimension ref="A1:P42"/>
  <sheetViews>
    <sheetView tabSelected="1" zoomScale="70" zoomScaleNormal="70" workbookViewId="0">
      <selection sqref="A1:P31"/>
    </sheetView>
  </sheetViews>
  <sheetFormatPr defaultRowHeight="14.4"/>
  <cols>
    <col min="1" max="1" width="8.9453125" customWidth="1"/>
    <col min="3" max="3" width="11.15625" customWidth="1"/>
    <col min="4" max="4" width="21.26171875" customWidth="1"/>
    <col min="5" max="5" width="21.3671875" customWidth="1"/>
    <col min="6" max="6" width="11.5234375" customWidth="1"/>
    <col min="7" max="7" width="12.05078125" customWidth="1"/>
    <col min="8" max="8" width="7.68359375" customWidth="1"/>
    <col min="9" max="9" width="10.05078125" customWidth="1"/>
    <col min="10" max="10" width="11.83984375" customWidth="1"/>
    <col min="11" max="11" width="6.20703125" customWidth="1"/>
    <col min="13" max="13" width="6.734375" customWidth="1"/>
    <col min="14" max="14" width="14.83984375" customWidth="1"/>
    <col min="15" max="15" width="6.15625" customWidth="1"/>
    <col min="16" max="16" width="3.3671875" customWidth="1"/>
    <col min="20" max="20" width="9.89453125" customWidth="1"/>
  </cols>
  <sheetData>
    <row r="1" spans="1:16" ht="28.2" customHeight="1" thickTop="1">
      <c r="A1" s="64" t="s">
        <v>7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6"/>
      <c r="M1" s="66"/>
      <c r="N1" s="66"/>
      <c r="O1" s="66"/>
      <c r="P1" s="67"/>
    </row>
    <row r="2" spans="1:16" ht="21.3" customHeight="1" thickBot="1">
      <c r="A2" s="68" t="s">
        <v>14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70"/>
    </row>
    <row r="3" spans="1:16">
      <c r="A3" s="7"/>
      <c r="P3" s="6"/>
    </row>
    <row r="4" spans="1:16" ht="17.7">
      <c r="A4" s="51" t="s">
        <v>1</v>
      </c>
      <c r="B4" s="52"/>
      <c r="C4" s="52"/>
      <c r="D4" s="52"/>
      <c r="E4" s="52"/>
      <c r="F4" s="52"/>
      <c r="G4" s="52"/>
      <c r="H4" s="52"/>
      <c r="I4" s="14" t="s">
        <v>2</v>
      </c>
      <c r="J4" s="21">
        <f>Sabusiva_input</f>
        <v>50</v>
      </c>
      <c r="K4" t="s">
        <v>0</v>
      </c>
      <c r="P4" s="6"/>
    </row>
    <row r="5" spans="1:16" ht="17.7">
      <c r="A5" s="51" t="s">
        <v>11</v>
      </c>
      <c r="B5" s="52"/>
      <c r="C5" s="52"/>
      <c r="D5" s="52"/>
      <c r="E5" s="52"/>
      <c r="F5" s="52"/>
      <c r="G5" s="52"/>
      <c r="H5" s="52"/>
      <c r="I5" s="14" t="s">
        <v>17</v>
      </c>
      <c r="J5" s="21">
        <f>VOMI</f>
        <v>1750</v>
      </c>
      <c r="K5" t="s">
        <v>12</v>
      </c>
      <c r="L5" s="9" t="str">
        <f>IF(Sabusiva&lt;$A$22,"=&gt; Valore non utilizzato","")</f>
        <v/>
      </c>
      <c r="M5" s="9"/>
      <c r="P5" s="6"/>
    </row>
    <row r="6" spans="1:16" ht="16.8">
      <c r="A6" s="51" t="s">
        <v>15</v>
      </c>
      <c r="B6" s="52"/>
      <c r="C6" s="52"/>
      <c r="D6" s="52"/>
      <c r="E6" s="52"/>
      <c r="F6" s="52"/>
      <c r="G6" s="52"/>
      <c r="H6" s="52"/>
      <c r="I6" s="14" t="s">
        <v>13</v>
      </c>
      <c r="J6" s="21">
        <f>k1967_input</f>
        <v>21.45</v>
      </c>
      <c r="K6" s="21" t="s">
        <v>9</v>
      </c>
      <c r="L6" s="9" t="str">
        <f>IF(Sabusiva&lt;$A$22,"=&gt; Valore non utilizzato","")</f>
        <v/>
      </c>
      <c r="M6" s="9"/>
      <c r="P6" s="6"/>
    </row>
    <row r="7" spans="1:16">
      <c r="A7" s="7" t="s">
        <v>20</v>
      </c>
      <c r="I7" s="14" t="s">
        <v>21</v>
      </c>
      <c r="J7" s="29" t="str">
        <f>IF(Casistica="","=&gt; Assunzione di 1.Residenziale (A) di default.",IF(Casistica=1,"=&gt; Casistica Residenziale (A)",IF(Casistica=2,"=&gt; Casistica Box (F)",IF(Casistica=3,"=&gt; Casistica Cantine/Magazzini",IF(Casistica=4,"=&gt; Casistica Industriale/artigianale (C)",IF(Casistica=5,"=&gt; Casistica Uffici (A)",IF(Casistica=6,"=&gt; Casistica Turistico (B)",IF(Casistica=7,"=&gt; Casistica Commerciale (D)","=&gt;Errore! Casistica non ammessa"))))))))</f>
        <v>=&gt; Casistica Cantine/Magazzini</v>
      </c>
      <c r="K7" s="21"/>
      <c r="L7" s="9"/>
      <c r="M7" s="9"/>
      <c r="P7" s="6"/>
    </row>
    <row r="8" spans="1:16" ht="16.8">
      <c r="A8" s="7" t="s">
        <v>22</v>
      </c>
      <c r="I8" s="14" t="s">
        <v>23</v>
      </c>
      <c r="J8" s="30">
        <f>k_riduz_calcolato</f>
        <v>1</v>
      </c>
      <c r="K8" s="21" t="s">
        <v>9</v>
      </c>
      <c r="L8" s="9" t="str">
        <f>IF(k_riduz_OMI=1,"=&gt; Calcolo standard","")</f>
        <v>=&gt; Calcolo standard</v>
      </c>
      <c r="M8" s="9"/>
      <c r="P8" s="6"/>
    </row>
    <row r="9" spans="1:16" ht="30.3" customHeight="1">
      <c r="A9" s="7"/>
      <c r="H9" s="8"/>
      <c r="P9" s="6"/>
    </row>
    <row r="10" spans="1:16">
      <c r="A10" s="75" t="str">
        <f>IF(Sabusiva&gt;$A$21,"Fattore correttivo legato a quotazione OMI=","")</f>
        <v>Fattore correttivo legato a quotazione OMI=</v>
      </c>
      <c r="B10" s="52"/>
      <c r="C10" s="52"/>
      <c r="D10" s="52"/>
      <c r="E10" s="24" t="str">
        <f>IF(Sabusiva&gt;$A$21,"Delta Vunit,OMI=","")</f>
        <v>Delta Vunit,OMI=</v>
      </c>
      <c r="F10" s="5">
        <f>IF(Sabusiva&gt;$A$21,IF(k1967_&lt;=1,"=&gt; Valore illegale",IF(k1967_&gt;100,"=&gt; Verificare correttezza!",Prezzo_OMI/k1967_)),"")</f>
        <v>81.585081585081582</v>
      </c>
      <c r="G10" t="str">
        <f>IF(Sabusiva&gt;A21,"€/m2","")</f>
        <v>€/m2</v>
      </c>
      <c r="H10" s="8"/>
      <c r="P10" s="6"/>
    </row>
    <row r="11" spans="1:16">
      <c r="A11" s="51" t="str">
        <f>IF(Sabusiva&gt;$A$21,"Valore unitario Vunit,OMI base per S&gt;20 m2=","")</f>
        <v>Valore unitario Vunit,OMI base per S&gt;20 m2=</v>
      </c>
      <c r="B11" s="52"/>
      <c r="C11" s="52"/>
      <c r="D11" s="52"/>
      <c r="E11" t="str">
        <f>IF(Sabusiva&gt;$A$21,"Vunit,OMI,base=","")</f>
        <v>Vunit,OMI,base=</v>
      </c>
      <c r="F11" s="5">
        <f>IF(Sabusiva&gt;$A$21,$B$19/10+Fattore_correttivo_OMI,"")</f>
        <v>597.98508158508162</v>
      </c>
      <c r="G11" t="str">
        <f>IF(Sabusiva&gt;A20,"€/m2","")</f>
        <v>€/m2</v>
      </c>
      <c r="H11" s="8"/>
      <c r="P11" s="6"/>
    </row>
    <row r="12" spans="1:16">
      <c r="A12" s="51" t="str">
        <f>IF(Sabusiva&gt;$A$21,"Valore unitario Vunit,OMI corretto per S&gt;20 m2=","")</f>
        <v>Valore unitario Vunit,OMI corretto per S&gt;20 m2=</v>
      </c>
      <c r="B12" s="52"/>
      <c r="C12" s="52"/>
      <c r="D12" s="52"/>
      <c r="E12" t="str">
        <f>IF(Sabusiva&gt;$A$21,"Vunit,OMI x k_riduz_OMI=","")</f>
        <v>Vunit,OMI x k_riduz_OMI=</v>
      </c>
      <c r="F12" s="5">
        <f>IF(Sabusiva&gt;$A$21,Vunit_OMI_base*k_riduz_OMI,"")</f>
        <v>597.98508158508162</v>
      </c>
      <c r="G12" t="str">
        <f>IF(Sabusiva&gt;A21,"€/m2","")</f>
        <v>€/m2</v>
      </c>
      <c r="H12" s="8"/>
      <c r="P12" s="6"/>
    </row>
    <row r="13" spans="1:16">
      <c r="A13" s="7" t="str">
        <f>IF(Sabusiva&gt;$A$21,"Delta superficie limite per raggiungimento max sanzione=","")</f>
        <v>Delta superficie limite per raggiungimento max sanzione=</v>
      </c>
      <c r="E13" t="str">
        <f>IF(Sabusiva&gt;$A$21,"Sinterp=","")</f>
        <v>Sinterp=</v>
      </c>
      <c r="F13" s="5">
        <f>IF(F10&lt;&gt;"",($B$23-$B$22)/$F$12,"")</f>
        <v>51.814001643436619</v>
      </c>
      <c r="G13" t="str">
        <f>IF(Sabusiva&gt;A21,"m2","")</f>
        <v>m2</v>
      </c>
      <c r="H13" s="8"/>
      <c r="P13" s="6"/>
    </row>
    <row r="14" spans="1:16">
      <c r="A14" s="7" t="str">
        <f>IF(Sabusiva&gt;$A$21,"Superficie limite per raggiungimento max sanzione=","")</f>
        <v>Superficie limite per raggiungimento max sanzione=</v>
      </c>
      <c r="E14" t="str">
        <f>IF(Sabusiva&gt;$A$21,"Slimite=20+Sinterp=","")</f>
        <v>Slimite=20+Sinterp=</v>
      </c>
      <c r="F14" s="5">
        <f>IF(F12&lt;&gt;"",$A$21+($B$23-$B$22)/$F$12,"")</f>
        <v>71.814001643436626</v>
      </c>
      <c r="G14" t="str">
        <f>IF(Sabusiva&gt;A21,"m2","")</f>
        <v>m2</v>
      </c>
      <c r="H14" s="8"/>
      <c r="P14" s="6"/>
    </row>
    <row r="15" spans="1:16">
      <c r="A15" s="13"/>
      <c r="B15" s="14"/>
      <c r="C15" s="14"/>
      <c r="H15" s="8"/>
      <c r="P15" s="6"/>
    </row>
    <row r="16" spans="1:16" ht="30.9">
      <c r="A16" s="15" t="s">
        <v>4</v>
      </c>
      <c r="B16" s="2" t="s">
        <v>3</v>
      </c>
      <c r="H16" s="8"/>
      <c r="P16" s="6"/>
    </row>
    <row r="17" spans="1:16">
      <c r="A17" s="15">
        <v>0</v>
      </c>
      <c r="B17" s="2">
        <v>0</v>
      </c>
      <c r="H17" s="8"/>
      <c r="P17" s="6"/>
    </row>
    <row r="18" spans="1:16">
      <c r="A18" s="16">
        <v>0.01</v>
      </c>
      <c r="B18" s="3">
        <v>5164</v>
      </c>
      <c r="P18" s="6"/>
    </row>
    <row r="19" spans="1:16">
      <c r="A19" s="16">
        <v>10</v>
      </c>
      <c r="B19" s="3">
        <v>5164</v>
      </c>
      <c r="P19" s="6"/>
    </row>
    <row r="20" spans="1:16">
      <c r="A20" s="16">
        <v>10.01</v>
      </c>
      <c r="B20" s="3">
        <v>10328</v>
      </c>
      <c r="P20" s="6"/>
    </row>
    <row r="21" spans="1:16">
      <c r="A21" s="16">
        <v>20</v>
      </c>
      <c r="B21" s="3">
        <v>10328</v>
      </c>
      <c r="C21" s="3" t="s">
        <v>16</v>
      </c>
      <c r="P21" s="6"/>
    </row>
    <row r="22" spans="1:16">
      <c r="A22" s="17">
        <v>20.0001</v>
      </c>
      <c r="B22" s="3">
        <v>15492</v>
      </c>
      <c r="C22" s="74">
        <f>$B$23-$B$22</f>
        <v>30984</v>
      </c>
      <c r="P22" s="6"/>
    </row>
    <row r="23" spans="1:16">
      <c r="A23" s="22">
        <f>IF(Sabusiva&gt;$A$22,($B$23-$B$22)/Vunit_OMI_x_k_riduz_OMI+$A$21,$A$22+0.01)</f>
        <v>71.814001643436626</v>
      </c>
      <c r="B23" s="3">
        <f>IF(Sabusiva&gt;$A$22,46476,$B$22)</f>
        <v>46476</v>
      </c>
      <c r="C23" s="74"/>
      <c r="P23" s="6"/>
    </row>
    <row r="24" spans="1:16">
      <c r="A24" s="23">
        <f>IF(Sabusiva&gt;$A$22,CEILING($A$23*2,5),$A$22+0.01)</f>
        <v>145</v>
      </c>
      <c r="B24" s="3">
        <f>IF(Sabusiva&gt;$A$22,46476,$B$22)</f>
        <v>46476</v>
      </c>
      <c r="P24" s="6"/>
    </row>
    <row r="25" spans="1:16">
      <c r="A25" s="7"/>
      <c r="P25" s="6"/>
    </row>
    <row r="26" spans="1:16">
      <c r="A26" s="7"/>
      <c r="P26" s="6"/>
    </row>
    <row r="27" spans="1:16">
      <c r="A27" s="7" t="s">
        <v>5</v>
      </c>
      <c r="B27" s="5">
        <f>IF(Sabusiva&lt;=$A$17,$B$17,IF(Sabusiva&lt;=$A$19,$B$19,IF(Sabusiva&lt;=$A$21,$B$21,IF(Sabusiva&lt;=$A$23,$B$22+MAX(0,(Sabusiva-$A$22)/($A$23-$A$22)*($B$23-$B$22)),$B$24))))</f>
        <v>33431.527271977669</v>
      </c>
      <c r="C27" s="1" t="s">
        <v>6</v>
      </c>
      <c r="P27" s="6"/>
    </row>
    <row r="28" spans="1:16">
      <c r="A28" s="7"/>
      <c r="P28" s="6"/>
    </row>
    <row r="29" spans="1:16">
      <c r="A29" s="7"/>
      <c r="P29" s="6"/>
    </row>
    <row r="30" spans="1:16">
      <c r="A30" s="7"/>
      <c r="P30" s="6"/>
    </row>
    <row r="31" spans="1:16" ht="14.7" thickBot="1">
      <c r="A31" s="1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20"/>
    </row>
    <row r="32" spans="1:16" ht="14.7" thickTop="1"/>
    <row r="41" spans="1:2" hidden="1">
      <c r="A41">
        <f>0</f>
        <v>0</v>
      </c>
      <c r="B41" s="4">
        <f>B27</f>
        <v>33431.527271977669</v>
      </c>
    </row>
    <row r="42" spans="1:2" hidden="1">
      <c r="A42">
        <f>A24</f>
        <v>145</v>
      </c>
      <c r="B42" s="4">
        <f>B41</f>
        <v>33431.527271977669</v>
      </c>
    </row>
  </sheetData>
  <sheetProtection algorithmName="SHA-512" hashValue="5hNrbjCutQ9Lgv5VAk+NK8g8Fdx+duFjYgsmM6WBGd+AaKjyAoBe6aUT+tCVYXLOeyII2e5mNZheqvrB1KJfDw==" saltValue="eOPJbtONt+lMGCXbvywVYA==" spinCount="100000" sheet="1" objects="1" scenarios="1"/>
  <mergeCells count="9">
    <mergeCell ref="A1:P1"/>
    <mergeCell ref="A2:P2"/>
    <mergeCell ref="A4:H4"/>
    <mergeCell ref="C22:C23"/>
    <mergeCell ref="A5:H5"/>
    <mergeCell ref="A6:H6"/>
    <mergeCell ref="A12:D12"/>
    <mergeCell ref="A10:D10"/>
    <mergeCell ref="A11:D11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D1CCF8-640E-4BEF-AB79-447F0EFE8109}">
  <dimension ref="A1:B4"/>
  <sheetViews>
    <sheetView workbookViewId="0">
      <selection activeCell="B4" sqref="B4"/>
    </sheetView>
  </sheetViews>
  <sheetFormatPr defaultRowHeight="14.4"/>
  <sheetData>
    <row r="1" spans="1:2">
      <c r="A1">
        <f>0</f>
        <v>0</v>
      </c>
      <c r="B1">
        <f>CEILING(Sanzione_OMI,0.01)</f>
        <v>33431.53</v>
      </c>
    </row>
    <row r="2" spans="1:2">
      <c r="A2" s="4">
        <f>'2.Tabella x OMI'!A24</f>
        <v>145</v>
      </c>
      <c r="B2">
        <f>CEILING(Sanzione_OMI,0.01)</f>
        <v>33431.53</v>
      </c>
    </row>
    <row r="4" spans="1:2">
      <c r="A4" t="s">
        <v>23</v>
      </c>
      <c r="B4">
        <f>IF(Uso_k_riduz="N",1,IF(Casistica=1,Fat._correttivo_residenziale,IF(Casistica=2,Fat._correttivo_Box,IF(Casistica=3,Fat._correttivo_Cantine,IF(Casistica=4,Fat._correttivo_industriale,IF(Casistica=5,Fat._correttivo_uffici,IF(Casistica=6,Fat._correttivo_Turistico,IF(Casistica=7,Fat._correttivo_Commerciale,"=&gt; Errore! Casistica sconosciuta. Correggere"))))))))</f>
        <v>1</v>
      </c>
    </row>
  </sheetData>
  <sheetProtection algorithmName="SHA-512" hashValue="E6FDyOZz27CqgFlRIINIZCH433bsnlNDycDAd9vlfVdnQRk4VUa4j9gTrwV6Gvq2Gr1y1Rl6fDqXOi1SXwutgw==" saltValue="KA3cJlAdDLhTcRCDzsFSGw==" spinCount="100000" sheet="1" objects="1" scenarios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24</vt:i4>
      </vt:variant>
    </vt:vector>
  </HeadingPairs>
  <TitlesOfParts>
    <vt:vector size="27" baseType="lpstr">
      <vt:lpstr>1.Input</vt:lpstr>
      <vt:lpstr>2.Tabella x OMI</vt:lpstr>
      <vt:lpstr>4.Non usare! Calcolo x OMI</vt:lpstr>
      <vt:lpstr>Casistica</vt:lpstr>
      <vt:lpstr>Fat._correttivo_Box</vt:lpstr>
      <vt:lpstr>Fat._correttivo_Cantine</vt:lpstr>
      <vt:lpstr>Fat._correttivo_Commerciale</vt:lpstr>
      <vt:lpstr>Fat._correttivo_industriale</vt:lpstr>
      <vt:lpstr>Fat._correttivo_residenziale</vt:lpstr>
      <vt:lpstr>Fat._correttivo_Turistico</vt:lpstr>
      <vt:lpstr>Fat._correttivo_uffici</vt:lpstr>
      <vt:lpstr>Fattore_correttivo_OMI</vt:lpstr>
      <vt:lpstr>k_riduz</vt:lpstr>
      <vt:lpstr>k_riduz_calcolato</vt:lpstr>
      <vt:lpstr>k_riduz_OMI</vt:lpstr>
      <vt:lpstr>k1967_</vt:lpstr>
      <vt:lpstr>k1967_input</vt:lpstr>
      <vt:lpstr>Prezzo_OMI</vt:lpstr>
      <vt:lpstr>'2.Tabella x OMI'!Sabusiva</vt:lpstr>
      <vt:lpstr>Sabusiva_input</vt:lpstr>
      <vt:lpstr>Sanzione_OMI</vt:lpstr>
      <vt:lpstr>Sinterp</vt:lpstr>
      <vt:lpstr>Slimite</vt:lpstr>
      <vt:lpstr>Uso_k_riduz</vt:lpstr>
      <vt:lpstr>VOMI</vt:lpstr>
      <vt:lpstr>Vunit_OMI_base</vt:lpstr>
      <vt:lpstr>Vunit_OMI_x_k_riduz_OMI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Cristiano Blengino</dc:creator>
  <cp:lastModifiedBy>Cristiano Blengino</cp:lastModifiedBy>
  <dcterms:created xsi:type="dcterms:W3CDTF">2022-08-24T13:53:46Z</dcterms:created>
  <dcterms:modified xsi:type="dcterms:W3CDTF">2022-09-25T15:08:20Z</dcterms:modified>
</cp:coreProperties>
</file>